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_d\Documents\Tom voorlopig\Leveranciers\GFS (flex gas systems)\Berekeningstool + flowrates\"/>
    </mc:Choice>
  </mc:AlternateContent>
  <xr:revisionPtr revIDLastSave="0" documentId="13_ncr:1_{CEA61D7F-3090-4C7F-AA93-E04969F65800}" xr6:coauthVersionLast="46" xr6:coauthVersionMax="46" xr10:uidLastSave="{00000000-0000-0000-0000-000000000000}"/>
  <bookViews>
    <workbookView xWindow="-108" yWindow="-108" windowWidth="23256" windowHeight="13176" xr2:uid="{37142904-5507-4518-A664-C689D8F964E1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1" i="1" l="1"/>
  <c r="R51" i="1" s="1"/>
  <c r="X51" i="1"/>
  <c r="W51" i="1"/>
  <c r="V51" i="1"/>
  <c r="Q51" i="1" s="1"/>
  <c r="U51" i="1"/>
  <c r="P51" i="1" s="1"/>
  <c r="O51" i="1" s="1"/>
  <c r="S51" i="1"/>
  <c r="N51" i="1"/>
  <c r="M51" i="1"/>
  <c r="L51" i="1"/>
  <c r="J51" i="1"/>
  <c r="Z49" i="1"/>
  <c r="X49" i="1"/>
  <c r="W49" i="1"/>
  <c r="V49" i="1"/>
  <c r="Q49" i="1" s="1"/>
  <c r="U49" i="1"/>
  <c r="P49" i="1" s="1"/>
  <c r="O49" i="1" s="1"/>
  <c r="S49" i="1"/>
  <c r="N49" i="1"/>
  <c r="M49" i="1"/>
  <c r="L49" i="1"/>
  <c r="J49" i="1"/>
  <c r="R49" i="1" l="1"/>
  <c r="K49" i="1" s="1"/>
  <c r="K51" i="1"/>
  <c r="S42" i="1"/>
  <c r="O42" i="1" l="1"/>
  <c r="J43" i="1" l="1"/>
  <c r="J44" i="1" s="1"/>
  <c r="W50" i="1"/>
  <c r="Z50" i="1"/>
  <c r="N50" i="1"/>
  <c r="M50" i="1"/>
  <c r="L50" i="1"/>
  <c r="S50" i="1"/>
  <c r="X50" i="1"/>
  <c r="N32" i="1"/>
  <c r="O28" i="1" s="1"/>
  <c r="R50" i="1" l="1"/>
  <c r="P28" i="1"/>
  <c r="T42" i="1" l="1"/>
  <c r="V50" i="1"/>
  <c r="Q50" i="1" s="1"/>
  <c r="U50" i="1"/>
  <c r="P50" i="1" s="1"/>
  <c r="O50" i="1" s="1"/>
  <c r="K50" i="1" s="1"/>
  <c r="N28" i="1"/>
  <c r="M28" i="1"/>
  <c r="K28" i="1"/>
  <c r="J28" i="1"/>
  <c r="I28" i="1"/>
  <c r="M30" i="1" l="1"/>
  <c r="L28" i="1" s="1"/>
  <c r="N35" i="1"/>
  <c r="G28" i="1" l="1"/>
  <c r="J50" i="1" l="1"/>
  <c r="R42" i="1" s="1"/>
  <c r="K44" i="1"/>
  <c r="K43" i="1"/>
  <c r="P33" i="1"/>
  <c r="AA22" i="1"/>
  <c r="Z22" i="1"/>
  <c r="X22" i="1"/>
  <c r="W22" i="1"/>
  <c r="V22" i="1"/>
  <c r="T22" i="1"/>
  <c r="C18" i="1"/>
  <c r="C17" i="1"/>
  <c r="T49" i="1" l="1"/>
  <c r="T51" i="1"/>
  <c r="Y22" i="1"/>
  <c r="B28" i="1" s="1"/>
  <c r="C28" i="1" s="1"/>
  <c r="P42" i="1"/>
  <c r="Q42" i="1" l="1"/>
  <c r="T50" i="1" l="1"/>
</calcChain>
</file>

<file path=xl/sharedStrings.xml><?xml version="1.0" encoding="utf-8"?>
<sst xmlns="http://schemas.openxmlformats.org/spreadsheetml/2006/main" count="132" uniqueCount="92">
  <si>
    <t>Tablodaki dil çevirileri</t>
  </si>
  <si>
    <t>English</t>
  </si>
  <si>
    <t>Lenght (m)</t>
  </si>
  <si>
    <t>90 Degree</t>
  </si>
  <si>
    <t>Tee</t>
  </si>
  <si>
    <t>Size (DN)</t>
  </si>
  <si>
    <t>Flow (m3/hr)</t>
  </si>
  <si>
    <t>Inlet Pressure:</t>
  </si>
  <si>
    <t>Pressure Drop:</t>
  </si>
  <si>
    <t>Natural Gas</t>
  </si>
  <si>
    <t>Propan</t>
  </si>
  <si>
    <t>Dutch</t>
  </si>
  <si>
    <t>Lengte (m)</t>
  </si>
  <si>
    <t>90 Bocht</t>
  </si>
  <si>
    <t>T Koppeling</t>
  </si>
  <si>
    <t>Nominale Breedte (DN)</t>
  </si>
  <si>
    <t>Stroom (m3/hr)</t>
  </si>
  <si>
    <t>Inlaatdruk:</t>
  </si>
  <si>
    <t>Drukverlie:</t>
  </si>
  <si>
    <t>Aardgaz</t>
  </si>
  <si>
    <t>Propaan</t>
  </si>
  <si>
    <t>GFS pressure drop calculation tool</t>
  </si>
  <si>
    <t>Sabit Veriler</t>
  </si>
  <si>
    <t>D</t>
  </si>
  <si>
    <t>E</t>
  </si>
  <si>
    <t>90 degree</t>
  </si>
  <si>
    <t>tee</t>
  </si>
  <si>
    <t>(Fill the caloric value (in kWh/m³))</t>
  </si>
  <si>
    <t>mbar</t>
  </si>
  <si>
    <t>Natural gas değerleri</t>
  </si>
  <si>
    <t>Propan değerleri</t>
  </si>
  <si>
    <t>KW</t>
  </si>
  <si>
    <t>Hesaplama için kullanılan işlem değerleri</t>
  </si>
  <si>
    <t>Chosen B</t>
  </si>
  <si>
    <t>Chosen F</t>
  </si>
  <si>
    <t>Chosen D</t>
  </si>
  <si>
    <t>Chosen E</t>
  </si>
  <si>
    <t>C1</t>
  </si>
  <si>
    <t>Seçilen 90 Degree</t>
  </si>
  <si>
    <t>Seçilen Tee</t>
  </si>
  <si>
    <t>H (up)</t>
  </si>
  <si>
    <t>H (down)</t>
  </si>
  <si>
    <t>A</t>
  </si>
  <si>
    <t>B</t>
  </si>
  <si>
    <t>F</t>
  </si>
  <si>
    <t>Belgium hesaplamaları</t>
  </si>
  <si>
    <t>Natural gas (g 20) değerleri</t>
  </si>
  <si>
    <t>Natural gas (g25) değerleri</t>
  </si>
  <si>
    <r>
      <rPr>
        <b/>
        <sz val="11"/>
        <rFont val="Arial Tur"/>
        <charset val="162"/>
      </rPr>
      <t>Δ</t>
    </r>
    <r>
      <rPr>
        <b/>
        <sz val="11"/>
        <rFont val="Calibri"/>
        <family val="2"/>
        <charset val="162"/>
      </rPr>
      <t>P</t>
    </r>
  </si>
  <si>
    <t>Uk hesaplamaları</t>
  </si>
  <si>
    <t>Chosen A</t>
  </si>
  <si>
    <t>Gerçek 90 degree 1</t>
  </si>
  <si>
    <t>GAZ CİNSİ</t>
  </si>
  <si>
    <t>Model:</t>
  </si>
  <si>
    <t>VAILLANT ECOTEC PRO VCW 286 / VCW 346</t>
  </si>
  <si>
    <t xml:space="preserve">    NATURAL
GAS (G25)</t>
  </si>
  <si>
    <t xml:space="preserve">    NATURAL
GAS (G20)</t>
  </si>
  <si>
    <t xml:space="preserve">PROPAN </t>
  </si>
  <si>
    <t>BEREKENING GASLEIDING PLT (GFS)</t>
  </si>
  <si>
    <t>Max pressure drop :</t>
  </si>
  <si>
    <t>Appartement</t>
  </si>
  <si>
    <t>Vermogen</t>
  </si>
  <si>
    <t>chosen F</t>
  </si>
  <si>
    <t>chosen D</t>
  </si>
  <si>
    <t>chosen E</t>
  </si>
  <si>
    <t>OK / NOK</t>
  </si>
  <si>
    <t>Totale lengte DN20 (m)</t>
  </si>
  <si>
    <t>Totale lengte DN25 (m)</t>
  </si>
  <si>
    <t>Totale lengte DN32 (m)</t>
  </si>
  <si>
    <t>Totale lengte DN40 (m)</t>
  </si>
  <si>
    <t>Blok / Nr.</t>
  </si>
  <si>
    <t>[kW]</t>
  </si>
  <si>
    <t>Diameter (DN)</t>
  </si>
  <si>
    <t>90° Bochten</t>
  </si>
  <si>
    <t>H omhoog</t>
  </si>
  <si>
    <t>H omlaag</t>
  </si>
  <si>
    <t>Totale lengte (m)</t>
  </si>
  <si>
    <t>Drukverlies ΔP:</t>
  </si>
  <si>
    <t>BLOK E</t>
  </si>
  <si>
    <t>+</t>
  </si>
  <si>
    <t>Bocht 90°</t>
  </si>
  <si>
    <t>T stuk</t>
  </si>
  <si>
    <t>m³/h</t>
  </si>
  <si>
    <t>Totale lengte DN50 (m)</t>
  </si>
  <si>
    <t>Bocht</t>
  </si>
  <si>
    <t xml:space="preserve">T stukken </t>
  </si>
  <si>
    <t>H (UP)</t>
  </si>
  <si>
    <t>H 5 Douw)</t>
  </si>
  <si>
    <t>(calorische value in kWh/m³)</t>
  </si>
  <si>
    <t>Totaal gas (m³/h)</t>
  </si>
  <si>
    <t>Volledige lijn kopiëren</t>
  </si>
  <si>
    <t>Caloric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</si>
</sst>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0"/>
    <numFmt numFmtId="165" formatCode="0.0000"/>
    <numFmt numFmtId="166" formatCode="0.000"/>
    <numFmt numFmtId="167" formatCode="0.0"/>
    <numFmt numFmtId="168" formatCode="#,##0.0000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charset val="162"/>
      <scheme val="minor"/>
    </font>
    <font>
      <sz val="9"/>
      <name val="Arial"/>
      <family val="2"/>
    </font>
    <font>
      <i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Arial Tur"/>
      <charset val="162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165" fontId="6" fillId="2" borderId="0" xfId="0" applyNumberFormat="1" applyFont="1" applyFill="1"/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0" borderId="0" xfId="0" applyFont="1"/>
    <xf numFmtId="0" fontId="8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 vertical="center"/>
    </xf>
    <xf numFmtId="2" fontId="9" fillId="2" borderId="11" xfId="0" applyNumberFormat="1" applyFont="1" applyFill="1" applyBorder="1" applyAlignment="1">
      <alignment horizontal="center"/>
    </xf>
    <xf numFmtId="2" fontId="10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/>
    <xf numFmtId="0" fontId="9" fillId="3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166" fontId="9" fillId="2" borderId="12" xfId="0" applyNumberFormat="1" applyFont="1" applyFill="1" applyBorder="1" applyAlignment="1">
      <alignment horizontal="center" vertical="center"/>
    </xf>
    <xf numFmtId="0" fontId="9" fillId="0" borderId="0" xfId="0" applyFont="1"/>
    <xf numFmtId="0" fontId="2" fillId="2" borderId="13" xfId="0" applyFont="1" applyFill="1" applyBorder="1"/>
    <xf numFmtId="0" fontId="2" fillId="2" borderId="14" xfId="0" applyFont="1" applyFill="1" applyBorder="1"/>
    <xf numFmtId="0" fontId="2" fillId="0" borderId="14" xfId="0" applyFont="1" applyBorder="1"/>
    <xf numFmtId="0" fontId="8" fillId="2" borderId="14" xfId="0" applyFont="1" applyFill="1" applyBorder="1" applyAlignment="1">
      <alignment horizontal="center"/>
    </xf>
    <xf numFmtId="0" fontId="8" fillId="2" borderId="14" xfId="0" applyFont="1" applyFill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16" xfId="0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" xfId="0" applyFont="1" applyBorder="1"/>
    <xf numFmtId="0" fontId="2" fillId="0" borderId="16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2" fontId="18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/>
    <xf numFmtId="0" fontId="19" fillId="2" borderId="0" xfId="0" applyFont="1" applyFill="1" applyAlignment="1">
      <alignment horizontal="right"/>
    </xf>
    <xf numFmtId="1" fontId="2" fillId="2" borderId="0" xfId="0" applyNumberFormat="1" applyFont="1" applyFill="1" applyAlignment="1">
      <alignment horizontal="center"/>
    </xf>
    <xf numFmtId="0" fontId="18" fillId="5" borderId="12" xfId="0" applyFont="1" applyFill="1" applyBorder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/>
    <xf numFmtId="0" fontId="18" fillId="2" borderId="0" xfId="0" applyFont="1" applyFill="1" applyAlignment="1">
      <alignment horizontal="center" vertical="center" textRotation="90" wrapText="1"/>
    </xf>
    <xf numFmtId="0" fontId="2" fillId="0" borderId="15" xfId="0" applyFont="1" applyBorder="1"/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2" fontId="14" fillId="0" borderId="0" xfId="0" applyNumberFormat="1" applyFont="1"/>
    <xf numFmtId="0" fontId="14" fillId="0" borderId="0" xfId="0" applyFont="1" applyBorder="1"/>
    <xf numFmtId="0" fontId="4" fillId="5" borderId="18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0" xfId="0" applyFont="1" applyFill="1"/>
    <xf numFmtId="164" fontId="2" fillId="9" borderId="12" xfId="0" applyNumberFormat="1" applyFont="1" applyFill="1" applyBorder="1" applyAlignment="1">
      <alignment horizontal="center" vertical="center"/>
    </xf>
    <xf numFmtId="167" fontId="2" fillId="9" borderId="12" xfId="0" applyNumberFormat="1" applyFont="1" applyFill="1" applyBorder="1" applyAlignment="1">
      <alignment horizontal="center" vertical="center"/>
    </xf>
    <xf numFmtId="2" fontId="2" fillId="9" borderId="12" xfId="0" applyNumberFormat="1" applyFont="1" applyFill="1" applyBorder="1" applyAlignment="1">
      <alignment horizontal="center" vertical="center"/>
    </xf>
    <xf numFmtId="168" fontId="2" fillId="9" borderId="12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2" borderId="20" xfId="0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Y5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40</xdr:row>
          <xdr:rowOff>487680</xdr:rowOff>
        </xdr:from>
        <xdr:to>
          <xdr:col>3</xdr:col>
          <xdr:colOff>731520</xdr:colOff>
          <xdr:row>43</xdr:row>
          <xdr:rowOff>182880</xdr:rowOff>
        </xdr:to>
        <xdr:sp macro="" textlink="">
          <xdr:nvSpPr>
            <xdr:cNvPr id="1025" name="Seçenek Düğmesi 6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38100</xdr:rowOff>
        </xdr:from>
        <xdr:to>
          <xdr:col>5</xdr:col>
          <xdr:colOff>716280</xdr:colOff>
          <xdr:row>43</xdr:row>
          <xdr:rowOff>137160</xdr:rowOff>
        </xdr:to>
        <xdr:sp macro="" textlink="">
          <xdr:nvSpPr>
            <xdr:cNvPr id="1026" name="Seçenek Düğmesi 7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41</xdr:row>
          <xdr:rowOff>144780</xdr:rowOff>
        </xdr:from>
        <xdr:to>
          <xdr:col>4</xdr:col>
          <xdr:colOff>685800</xdr:colOff>
          <xdr:row>43</xdr:row>
          <xdr:rowOff>7620</xdr:rowOff>
        </xdr:to>
        <xdr:sp macro="" textlink="">
          <xdr:nvSpPr>
            <xdr:cNvPr id="1027" name="Option Button 8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501431</xdr:colOff>
      <xdr:row>39</xdr:row>
      <xdr:rowOff>57149</xdr:rowOff>
    </xdr:from>
    <xdr:to>
      <xdr:col>10</xdr:col>
      <xdr:colOff>933450</xdr:colOff>
      <xdr:row>41</xdr:row>
      <xdr:rowOff>151979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0906" y="57149"/>
          <a:ext cx="1136869" cy="828255"/>
        </a:xfrm>
        <a:prstGeom prst="rect">
          <a:avLst/>
        </a:prstGeom>
      </xdr:spPr>
    </xdr:pic>
    <xdr:clientData/>
  </xdr:twoCellAnchor>
  <xdr:twoCellAnchor>
    <xdr:from>
      <xdr:col>0</xdr:col>
      <xdr:colOff>200236</xdr:colOff>
      <xdr:row>45</xdr:row>
      <xdr:rowOff>85516</xdr:rowOff>
    </xdr:from>
    <xdr:to>
      <xdr:col>0</xdr:col>
      <xdr:colOff>367453</xdr:colOff>
      <xdr:row>47</xdr:row>
      <xdr:rowOff>181189</xdr:rowOff>
    </xdr:to>
    <xdr:sp macro="" textlink="">
      <xdr:nvSpPr>
        <xdr:cNvPr id="2" name="Pijl: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551977">
          <a:off x="28575" y="1781177"/>
          <a:ext cx="510540" cy="167217"/>
        </a:xfrm>
        <a:prstGeom prst="rightArrow">
          <a:avLst/>
        </a:prstGeom>
        <a:solidFill>
          <a:srgbClr val="FF99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D193-F0EC-4B41-95FA-870D3DC6063C}">
  <dimension ref="A1:AJ51"/>
  <sheetViews>
    <sheetView tabSelected="1" topLeftCell="A40" zoomScale="90" zoomScaleNormal="90" workbookViewId="0">
      <selection activeCell="A52" sqref="A52"/>
    </sheetView>
  </sheetViews>
  <sheetFormatPr defaultColWidth="9.109375" defaultRowHeight="14.4" x14ac:dyDescent="0.3"/>
  <cols>
    <col min="1" max="1" width="7.88671875" style="4" customWidth="1"/>
    <col min="2" max="2" width="12.77734375" style="4" customWidth="1"/>
    <col min="3" max="3" width="10" style="3" customWidth="1"/>
    <col min="4" max="6" width="14.6640625" style="2" customWidth="1"/>
    <col min="7" max="7" width="11.44140625" style="2" customWidth="1"/>
    <col min="8" max="8" width="10" style="2" bestFit="1" customWidth="1"/>
    <col min="9" max="9" width="9.109375" style="2" bestFit="1"/>
    <col min="10" max="10" width="10.21875" style="2" customWidth="1"/>
    <col min="11" max="11" width="15.109375" style="2" customWidth="1"/>
    <col min="12" max="12" width="10.44140625" style="2" hidden="1" customWidth="1"/>
    <col min="13" max="13" width="13" style="2" hidden="1" customWidth="1"/>
    <col min="14" max="14" width="12.5546875" style="2" hidden="1" customWidth="1"/>
    <col min="15" max="15" width="13.44140625" style="2" customWidth="1"/>
    <col min="16" max="16" width="12.5546875" style="2" customWidth="1"/>
    <col min="17" max="18" width="14" style="2" customWidth="1"/>
    <col min="19" max="19" width="9" style="2" customWidth="1"/>
    <col min="20" max="20" width="9.33203125" style="3" bestFit="1" customWidth="1"/>
    <col min="21" max="21" width="7.109375" style="4" hidden="1" customWidth="1"/>
    <col min="22" max="22" width="9" style="4" hidden="1" customWidth="1"/>
    <col min="23" max="23" width="7.5546875" style="4" hidden="1" customWidth="1"/>
    <col min="24" max="24" width="9.44140625" style="4" hidden="1" customWidth="1"/>
    <col min="25" max="25" width="7.109375" style="4" hidden="1" customWidth="1"/>
    <col min="26" max="26" width="9.88671875" style="4" hidden="1" customWidth="1"/>
    <col min="27" max="27" width="9.109375" style="5" hidden="1" customWidth="1"/>
    <col min="28" max="28" width="4.109375" style="5" bestFit="1" customWidth="1"/>
    <col min="29" max="29" width="13" style="5" customWidth="1"/>
    <col min="30" max="30" width="9.5546875" style="5" bestFit="1" customWidth="1"/>
    <col min="31" max="31" width="11.6640625" style="5" bestFit="1" customWidth="1"/>
    <col min="32" max="32" width="29.44140625" style="5" customWidth="1"/>
    <col min="33" max="33" width="24.33203125" style="5" customWidth="1"/>
    <col min="34" max="34" width="9.44140625" style="5" bestFit="1" customWidth="1"/>
    <col min="35" max="35" width="9.109375" style="5"/>
    <col min="36" max="36" width="17.88671875" style="5" bestFit="1" customWidth="1"/>
    <col min="37" max="37" width="16.44140625" style="4" bestFit="1" customWidth="1"/>
    <col min="38" max="16384" width="9.109375" style="4"/>
  </cols>
  <sheetData>
    <row r="1" spans="2:18" hidden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8" hidden="1" x14ac:dyDescent="0.3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1"/>
    </row>
    <row r="3" spans="2:18" hidden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8" hidden="1" x14ac:dyDescent="0.3">
      <c r="B4" s="1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/>
      <c r="K4" s="6" t="s">
        <v>9</v>
      </c>
      <c r="L4" s="6" t="s">
        <v>10</v>
      </c>
      <c r="M4" s="1"/>
    </row>
    <row r="5" spans="2:18" hidden="1" x14ac:dyDescent="0.3"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/>
      <c r="K5" s="1" t="s">
        <v>19</v>
      </c>
      <c r="L5" s="1" t="s">
        <v>20</v>
      </c>
      <c r="M5" s="1"/>
    </row>
    <row r="6" spans="2:18" hidden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8" hidden="1" x14ac:dyDescent="0.3"/>
    <row r="8" spans="2:18" hidden="1" x14ac:dyDescent="0.3"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hidden="1" x14ac:dyDescent="0.3">
      <c r="B9" s="4" t="s">
        <v>21</v>
      </c>
      <c r="C9" s="4"/>
      <c r="D9" s="4"/>
      <c r="E9" s="4"/>
      <c r="F9" s="4"/>
      <c r="G9" s="99" t="s">
        <v>22</v>
      </c>
      <c r="H9" s="99"/>
      <c r="I9" s="99"/>
      <c r="J9" s="99"/>
      <c r="K9" s="99"/>
      <c r="L9" s="99"/>
      <c r="M9" s="99"/>
      <c r="N9" s="7"/>
      <c r="O9" s="7"/>
      <c r="P9" s="5"/>
      <c r="Q9" s="5"/>
      <c r="R9" s="5"/>
    </row>
    <row r="10" spans="2:18" hidden="1" x14ac:dyDescent="0.3">
      <c r="C10" s="4"/>
      <c r="D10" s="4"/>
      <c r="E10" s="1"/>
      <c r="F10" s="4"/>
      <c r="G10" s="7"/>
      <c r="H10" s="7"/>
      <c r="I10" s="8" t="s">
        <v>23</v>
      </c>
      <c r="J10" s="8"/>
      <c r="K10" s="8" t="s">
        <v>24</v>
      </c>
      <c r="L10" s="7" t="s">
        <v>25</v>
      </c>
      <c r="M10" s="7" t="s">
        <v>26</v>
      </c>
      <c r="N10" s="7"/>
      <c r="O10" s="7"/>
      <c r="P10" s="5"/>
      <c r="Q10" s="5"/>
      <c r="R10" s="5"/>
    </row>
    <row r="11" spans="2:18" hidden="1" x14ac:dyDescent="0.3">
      <c r="B11" s="1"/>
      <c r="C11" s="1"/>
      <c r="D11" s="1"/>
      <c r="E11" s="1"/>
      <c r="F11" s="4"/>
      <c r="G11" s="9"/>
      <c r="H11" s="10">
        <v>15</v>
      </c>
      <c r="I11" s="11">
        <v>4.6783010371999993E-2</v>
      </c>
      <c r="J11" s="11"/>
      <c r="K11" s="12">
        <v>2.0686124564999999</v>
      </c>
      <c r="L11" s="7">
        <v>0.4</v>
      </c>
      <c r="M11" s="7">
        <v>0.4</v>
      </c>
      <c r="N11" s="7"/>
      <c r="O11" s="7"/>
      <c r="P11" s="5"/>
      <c r="Q11" s="5"/>
      <c r="R11" s="5"/>
    </row>
    <row r="12" spans="2:18" hidden="1" x14ac:dyDescent="0.3">
      <c r="C12" s="4"/>
      <c r="D12" s="4"/>
      <c r="E12" s="1"/>
      <c r="F12" s="4"/>
      <c r="G12" s="9"/>
      <c r="H12" s="10">
        <v>20</v>
      </c>
      <c r="I12" s="11">
        <v>7.387636217778E-3</v>
      </c>
      <c r="J12" s="11"/>
      <c r="K12" s="12">
        <v>2.0541469081999999</v>
      </c>
      <c r="L12" s="7">
        <v>0.4</v>
      </c>
      <c r="M12" s="7">
        <v>0.4</v>
      </c>
      <c r="N12" s="7"/>
      <c r="O12" s="7"/>
      <c r="P12" s="5"/>
      <c r="Q12" s="5"/>
      <c r="R12" s="5"/>
    </row>
    <row r="13" spans="2:18" hidden="1" x14ac:dyDescent="0.3">
      <c r="C13" s="4"/>
      <c r="D13" s="4"/>
      <c r="E13" s="1"/>
      <c r="F13" s="4"/>
      <c r="G13" s="9"/>
      <c r="H13" s="10">
        <v>25</v>
      </c>
      <c r="I13" s="11">
        <v>2.533803404E-3</v>
      </c>
      <c r="J13" s="11"/>
      <c r="K13" s="12">
        <v>2.0398046447999998</v>
      </c>
      <c r="L13" s="7">
        <v>0.4</v>
      </c>
      <c r="M13" s="7">
        <v>0.4</v>
      </c>
      <c r="N13" s="7"/>
      <c r="O13" s="7"/>
      <c r="P13" s="5"/>
      <c r="Q13" s="5"/>
      <c r="R13" s="5"/>
    </row>
    <row r="14" spans="2:18" hidden="1" x14ac:dyDescent="0.3">
      <c r="C14" s="4"/>
      <c r="D14" s="4"/>
      <c r="E14" s="1"/>
      <c r="F14" s="4"/>
      <c r="G14" s="9"/>
      <c r="H14" s="10">
        <v>32</v>
      </c>
      <c r="I14" s="11">
        <v>7.0507639521199996E-4</v>
      </c>
      <c r="J14" s="11"/>
      <c r="K14" s="12">
        <v>2.0363650729809999</v>
      </c>
      <c r="L14" s="7">
        <v>0.6</v>
      </c>
      <c r="M14" s="7">
        <v>0.7</v>
      </c>
      <c r="N14" s="7"/>
      <c r="O14" s="7"/>
      <c r="P14" s="5"/>
      <c r="Q14" s="5"/>
      <c r="R14" s="5"/>
    </row>
    <row r="15" spans="2:18" hidden="1" x14ac:dyDescent="0.3">
      <c r="C15" s="4"/>
      <c r="D15" s="4"/>
      <c r="E15" s="100" t="s">
        <v>27</v>
      </c>
      <c r="F15" s="101"/>
      <c r="G15" s="9"/>
      <c r="H15" s="10">
        <v>40</v>
      </c>
      <c r="I15" s="11">
        <v>3.3341375219148002E-4</v>
      </c>
      <c r="J15" s="11"/>
      <c r="K15" s="12">
        <v>1.979374809094</v>
      </c>
      <c r="L15" s="7">
        <v>0.6</v>
      </c>
      <c r="M15" s="7">
        <v>0.7</v>
      </c>
      <c r="N15" s="7"/>
      <c r="O15" s="7"/>
      <c r="P15" s="5"/>
      <c r="Q15" s="5"/>
      <c r="R15" s="5"/>
    </row>
    <row r="16" spans="2:18" hidden="1" x14ac:dyDescent="0.3">
      <c r="B16" s="1"/>
      <c r="C16" s="1"/>
      <c r="D16" s="1"/>
      <c r="E16" s="102"/>
      <c r="F16" s="103"/>
      <c r="G16" s="9"/>
      <c r="H16" s="10">
        <v>50</v>
      </c>
      <c r="I16" s="11">
        <v>5.4472197093092101E-5</v>
      </c>
      <c r="J16" s="11"/>
      <c r="K16" s="12">
        <v>2.010803273978</v>
      </c>
      <c r="L16" s="7">
        <v>0.7</v>
      </c>
      <c r="M16" s="7">
        <v>1</v>
      </c>
      <c r="N16" s="7"/>
      <c r="O16" s="7"/>
      <c r="P16" s="5"/>
      <c r="Q16" s="5"/>
      <c r="R16" s="5"/>
    </row>
    <row r="17" spans="2:31" hidden="1" x14ac:dyDescent="0.3">
      <c r="B17" s="6" t="s">
        <v>7</v>
      </c>
      <c r="C17" s="13" t="str">
        <f>IF(O37=1,"21 mbar",IF(O37=2,"37 mbar",IF(O37=3,"25 mbar",IF(O37=4,"21 mbar",IF(O37=5,"37 mbar")))))</f>
        <v>21 mbar</v>
      </c>
      <c r="D17" s="4"/>
      <c r="E17" s="1"/>
      <c r="F17" s="4"/>
      <c r="G17" s="14"/>
      <c r="H17" s="15"/>
      <c r="I17" s="15"/>
      <c r="J17" s="15"/>
      <c r="K17" s="15"/>
      <c r="L17" s="15"/>
      <c r="M17" s="15"/>
      <c r="N17" s="16"/>
      <c r="O17" s="16"/>
      <c r="P17" s="15"/>
      <c r="Q17" s="15"/>
      <c r="R17" s="15"/>
      <c r="S17" s="17"/>
      <c r="T17" s="18"/>
      <c r="U17" s="19"/>
      <c r="V17" s="19"/>
      <c r="W17" s="19"/>
      <c r="X17" s="19"/>
      <c r="Y17" s="19"/>
      <c r="Z17" s="19"/>
      <c r="AA17" s="15"/>
    </row>
    <row r="18" spans="2:31" hidden="1" x14ac:dyDescent="0.3">
      <c r="B18" s="6" t="s">
        <v>8</v>
      </c>
      <c r="C18" s="13" t="str">
        <f>IF(O37=1,"1   mbar",IF(O37=2,"1   mbar",IF(O37=3,"1   mbar",IF(O37=4,"1   mbar",IF(O37=5,"2   mbar")))))</f>
        <v>1   mbar</v>
      </c>
      <c r="D18" s="4"/>
      <c r="E18" s="1"/>
      <c r="F18" s="4"/>
      <c r="G18" s="65" t="s">
        <v>42</v>
      </c>
      <c r="H18" s="65" t="s">
        <v>43</v>
      </c>
      <c r="I18" s="1"/>
      <c r="J18" s="65" t="s">
        <v>44</v>
      </c>
      <c r="K18" s="1" t="s">
        <v>45</v>
      </c>
      <c r="L18" s="1"/>
      <c r="M18" s="1"/>
      <c r="N18" s="1"/>
      <c r="O18" s="4"/>
      <c r="P18" s="15"/>
      <c r="Q18" s="15"/>
      <c r="R18" s="15"/>
      <c r="S18" s="17"/>
      <c r="T18" s="20">
        <v>10.81</v>
      </c>
      <c r="U18" s="20">
        <v>1</v>
      </c>
      <c r="V18" s="16" t="s">
        <v>28</v>
      </c>
      <c r="W18" s="21">
        <v>1</v>
      </c>
      <c r="X18" s="16" t="s">
        <v>29</v>
      </c>
      <c r="Y18" s="16"/>
      <c r="Z18" s="16"/>
      <c r="AA18" s="16"/>
    </row>
    <row r="19" spans="2:31" hidden="1" x14ac:dyDescent="0.3">
      <c r="B19" s="6"/>
      <c r="C19" s="13"/>
      <c r="D19" s="4"/>
      <c r="E19" s="1"/>
      <c r="F19" s="4"/>
      <c r="G19" s="66">
        <v>9.7690000000000001</v>
      </c>
      <c r="H19" s="66">
        <v>1</v>
      </c>
      <c r="I19" s="1" t="s">
        <v>28</v>
      </c>
      <c r="J19" s="65">
        <v>1.0284599999999999</v>
      </c>
      <c r="K19" s="1" t="s">
        <v>46</v>
      </c>
      <c r="L19" s="1"/>
      <c r="M19" s="1"/>
      <c r="N19" s="1"/>
      <c r="O19" s="1"/>
      <c r="P19" s="73">
        <v>1.028071</v>
      </c>
      <c r="Q19" s="15"/>
      <c r="R19" s="15"/>
      <c r="S19" s="17"/>
      <c r="T19" s="20">
        <v>25.86</v>
      </c>
      <c r="U19" s="20">
        <v>2</v>
      </c>
      <c r="V19" s="16" t="s">
        <v>28</v>
      </c>
      <c r="W19" s="22">
        <v>1.5915999999999999</v>
      </c>
      <c r="X19" s="16" t="s">
        <v>30</v>
      </c>
      <c r="Y19" s="16"/>
      <c r="Z19" s="16"/>
      <c r="AA19" s="16"/>
    </row>
    <row r="20" spans="2:31" hidden="1" x14ac:dyDescent="0.3">
      <c r="B20" s="23" t="s">
        <v>31</v>
      </c>
      <c r="C20" s="104" t="s">
        <v>5</v>
      </c>
      <c r="D20" s="105"/>
      <c r="E20" s="24" t="s">
        <v>2</v>
      </c>
      <c r="F20" s="4"/>
      <c r="G20" s="66">
        <v>25.95</v>
      </c>
      <c r="H20" s="66">
        <v>1</v>
      </c>
      <c r="I20" s="1" t="s">
        <v>28</v>
      </c>
      <c r="J20" s="65">
        <v>1.63266</v>
      </c>
      <c r="K20" s="1" t="s">
        <v>30</v>
      </c>
      <c r="L20" s="1"/>
      <c r="M20" s="1"/>
      <c r="N20" s="1"/>
      <c r="O20" s="1"/>
      <c r="P20" s="73">
        <v>1.0149999999999999</v>
      </c>
      <c r="Q20" s="15"/>
      <c r="R20" s="15"/>
      <c r="S20" s="17"/>
      <c r="T20" s="106" t="s">
        <v>32</v>
      </c>
      <c r="U20" s="106"/>
      <c r="V20" s="106"/>
      <c r="W20" s="106"/>
      <c r="X20" s="106"/>
      <c r="Y20" s="106"/>
      <c r="Z20" s="106"/>
      <c r="AA20" s="106"/>
    </row>
    <row r="21" spans="2:31" ht="15" hidden="1" thickBot="1" x14ac:dyDescent="0.35">
      <c r="B21" s="25">
        <v>34</v>
      </c>
      <c r="C21" s="114">
        <v>25</v>
      </c>
      <c r="D21" s="115"/>
      <c r="E21" s="26">
        <v>99</v>
      </c>
      <c r="F21" s="4"/>
      <c r="G21" s="66">
        <v>11.63</v>
      </c>
      <c r="H21" s="66">
        <v>1</v>
      </c>
      <c r="I21" s="1" t="s">
        <v>28</v>
      </c>
      <c r="J21" s="65">
        <v>1.0411999999999999</v>
      </c>
      <c r="K21" s="1" t="s">
        <v>47</v>
      </c>
      <c r="L21" s="1"/>
      <c r="M21" s="1"/>
      <c r="N21" s="1"/>
      <c r="O21" s="1"/>
      <c r="P21" s="73">
        <v>1.0111319999999999</v>
      </c>
      <c r="Q21" s="15"/>
      <c r="R21" s="15"/>
      <c r="S21" s="17"/>
      <c r="T21" s="16" t="s">
        <v>33</v>
      </c>
      <c r="U21" s="16"/>
      <c r="V21" s="16" t="s">
        <v>34</v>
      </c>
      <c r="W21" s="16" t="s">
        <v>35</v>
      </c>
      <c r="X21" s="16" t="s">
        <v>36</v>
      </c>
      <c r="Y21" s="22" t="s">
        <v>37</v>
      </c>
      <c r="Z21" s="22" t="s">
        <v>38</v>
      </c>
      <c r="AA21" s="22" t="s">
        <v>39</v>
      </c>
      <c r="AB21" s="4"/>
      <c r="AC21" s="4"/>
    </row>
    <row r="22" spans="2:31" hidden="1" x14ac:dyDescent="0.3">
      <c r="B22" s="1"/>
      <c r="C22" s="1"/>
      <c r="D22" s="1"/>
      <c r="E22" s="1"/>
      <c r="F22" s="4"/>
      <c r="G22" s="66"/>
      <c r="H22" s="66"/>
      <c r="I22" s="1"/>
      <c r="J22" s="65"/>
      <c r="K22" s="1"/>
      <c r="L22" s="1"/>
      <c r="M22" s="1"/>
      <c r="N22" s="1"/>
      <c r="O22" s="1"/>
      <c r="P22" s="15"/>
      <c r="Q22" s="15"/>
      <c r="R22" s="15"/>
      <c r="S22" s="17"/>
      <c r="T22" s="27">
        <f>IF(O37=2,H25,IF(O37=1,H24,IF(O37=3,H26,IF(O37=4,U18,IF(O37=5,U19)))))</f>
        <v>1</v>
      </c>
      <c r="U22" s="16"/>
      <c r="V22" s="16" t="str">
        <f>IF(O37=2,K25,IF(O37=1,K24,IF(O37=3,K26,IF(O37=4,W18,IF(O37=5,W19)))))</f>
        <v>Natural gas değerleri</v>
      </c>
      <c r="W22" s="28">
        <f>IF(C21=H11,I11,IF(C21=H12,I12,IF(C21=H13,I13,IF(C21=H14,I14,IF(C21=H15,I15,IF(C21=H16,I16,0))))))</f>
        <v>2.533803404E-3</v>
      </c>
      <c r="X22" s="16">
        <f>IF(C21=H11,K11,IF(C21=H12,K12,IF(C21=H13,K13,IF(C21=H14,K14,IF(C21=H15,K15,IF(C21=H16,K16,0))))))</f>
        <v>2.0398046447999998</v>
      </c>
      <c r="Y22" s="22">
        <f>E21+(N35*Z22)+(C24*AA22)</f>
        <v>100.6</v>
      </c>
      <c r="Z22" s="16">
        <f>IF(C21=H11,L11,IF(C21=H12,L12,IF(C21=H13,L13,IF(C21=H14,L14,IF(C21=H15,L15,IF(C21=H16,L16,0))))))</f>
        <v>0.4</v>
      </c>
      <c r="AA22" s="16">
        <f>IF(C21=H11,M11,IF(C21=H12,M12,IF(C21=H13,M13,IF(C21=H14,M14,IF(C21=H15,M15,IF(C21=H16,M16,0))))))</f>
        <v>0.4</v>
      </c>
      <c r="AB22" s="4"/>
      <c r="AC22" s="4"/>
    </row>
    <row r="23" spans="2:31" hidden="1" x14ac:dyDescent="0.3">
      <c r="B23" s="29" t="s">
        <v>3</v>
      </c>
      <c r="C23" s="29" t="s">
        <v>4</v>
      </c>
      <c r="D23" s="29" t="s">
        <v>40</v>
      </c>
      <c r="E23" s="29" t="s">
        <v>41</v>
      </c>
      <c r="F23" s="4"/>
      <c r="G23" s="66"/>
      <c r="H23" s="66"/>
      <c r="I23" s="1"/>
      <c r="J23" s="65"/>
      <c r="K23" s="1" t="s">
        <v>49</v>
      </c>
      <c r="L23" s="1"/>
      <c r="M23" s="1"/>
      <c r="N23" s="1"/>
      <c r="O23" s="1"/>
      <c r="P23" s="15"/>
      <c r="Q23" s="15"/>
      <c r="R23" s="15"/>
      <c r="S23" s="17"/>
      <c r="T23" s="18"/>
      <c r="U23" s="19"/>
      <c r="V23" s="19"/>
      <c r="W23" s="19"/>
      <c r="X23" s="19"/>
      <c r="Y23" s="19"/>
      <c r="Z23" s="19"/>
      <c r="AA23" s="19"/>
      <c r="AB23" s="4"/>
      <c r="AC23" s="4"/>
    </row>
    <row r="24" spans="2:31" hidden="1" x14ac:dyDescent="0.3">
      <c r="B24" s="30">
        <v>6</v>
      </c>
      <c r="C24" s="30">
        <v>2</v>
      </c>
      <c r="D24" s="30">
        <v>15</v>
      </c>
      <c r="E24" s="30">
        <v>0</v>
      </c>
      <c r="F24" s="4"/>
      <c r="G24" s="66">
        <v>10.81</v>
      </c>
      <c r="H24" s="66">
        <v>1</v>
      </c>
      <c r="I24" s="1" t="s">
        <v>28</v>
      </c>
      <c r="J24" s="67">
        <v>1</v>
      </c>
      <c r="K24" s="1" t="s">
        <v>29</v>
      </c>
      <c r="L24" s="1"/>
      <c r="M24" s="1"/>
      <c r="N24" s="1"/>
      <c r="O24" s="1"/>
      <c r="P24" s="16"/>
      <c r="Q24" s="16"/>
      <c r="R24" s="16"/>
      <c r="S24" s="17"/>
      <c r="T24" s="18"/>
      <c r="U24" s="19"/>
      <c r="V24" s="19"/>
      <c r="W24" s="19"/>
      <c r="X24" s="19"/>
      <c r="Y24" s="19"/>
      <c r="Z24" s="19"/>
      <c r="AA24" s="19"/>
      <c r="AB24" s="4"/>
      <c r="AC24" s="4"/>
    </row>
    <row r="25" spans="2:31" ht="11.25" hidden="1" customHeight="1" x14ac:dyDescent="0.3">
      <c r="B25" s="1"/>
      <c r="C25" s="1"/>
      <c r="D25" s="1"/>
      <c r="E25" s="1"/>
      <c r="F25" s="4"/>
      <c r="G25" s="66">
        <v>25.86</v>
      </c>
      <c r="H25" s="66">
        <v>2</v>
      </c>
      <c r="I25" s="1" t="s">
        <v>28</v>
      </c>
      <c r="J25" s="65">
        <v>1.5915999999999999</v>
      </c>
      <c r="K25" s="1" t="s">
        <v>30</v>
      </c>
      <c r="L25" s="1"/>
      <c r="M25" s="1"/>
      <c r="N25" s="1"/>
      <c r="O25" s="1"/>
      <c r="P25" s="16"/>
      <c r="Q25" s="16"/>
      <c r="R25" s="16"/>
      <c r="S25" s="17"/>
      <c r="T25" s="18"/>
      <c r="U25" s="19"/>
      <c r="V25" s="19"/>
      <c r="W25" s="19"/>
      <c r="X25" s="19"/>
      <c r="Y25" s="19"/>
      <c r="Z25" s="19"/>
      <c r="AA25" s="19"/>
      <c r="AB25" s="4"/>
      <c r="AC25" s="4"/>
      <c r="AD25" s="4"/>
      <c r="AE25" s="4"/>
    </row>
    <row r="26" spans="2:31" hidden="1" x14ac:dyDescent="0.3">
      <c r="B26" s="1"/>
      <c r="C26" s="1"/>
      <c r="D26" s="1"/>
      <c r="E26" s="1"/>
      <c r="F26" s="4"/>
      <c r="G26" s="98" t="s">
        <v>32</v>
      </c>
      <c r="H26" s="98"/>
      <c r="I26" s="98"/>
      <c r="J26" s="98"/>
      <c r="K26" s="98"/>
      <c r="L26" s="98"/>
      <c r="M26" s="98"/>
      <c r="N26" s="98"/>
      <c r="O26" s="1"/>
      <c r="P26" s="16"/>
      <c r="Q26" s="16"/>
      <c r="R26" s="16"/>
      <c r="S26" s="17"/>
      <c r="T26" s="18"/>
      <c r="U26" s="19"/>
      <c r="V26" s="19"/>
      <c r="W26" s="19"/>
      <c r="X26" s="19"/>
      <c r="Y26" s="19"/>
      <c r="Z26" s="19"/>
      <c r="AA26" s="19"/>
      <c r="AB26" s="4"/>
      <c r="AC26" s="4"/>
      <c r="AD26" s="4"/>
      <c r="AE26" s="4"/>
    </row>
    <row r="27" spans="2:31" hidden="1" x14ac:dyDescent="0.3">
      <c r="B27" s="31" t="s">
        <v>48</v>
      </c>
      <c r="D27" s="1"/>
      <c r="E27" s="1"/>
      <c r="F27" s="4"/>
      <c r="G27" s="1" t="s">
        <v>33</v>
      </c>
      <c r="H27" s="1"/>
      <c r="I27" s="1" t="s">
        <v>34</v>
      </c>
      <c r="J27" s="1" t="s">
        <v>35</v>
      </c>
      <c r="K27" s="1" t="s">
        <v>36</v>
      </c>
      <c r="L27" s="65" t="s">
        <v>37</v>
      </c>
      <c r="M27" s="65" t="s">
        <v>38</v>
      </c>
      <c r="N27" s="65" t="s">
        <v>39</v>
      </c>
      <c r="O27" s="65" t="s">
        <v>50</v>
      </c>
      <c r="P27" s="16"/>
      <c r="Q27" s="16"/>
      <c r="R27" s="16"/>
      <c r="AA27" s="4"/>
      <c r="AB27" s="4"/>
      <c r="AC27" s="4"/>
      <c r="AD27" s="4"/>
      <c r="AE27" s="4"/>
    </row>
    <row r="28" spans="2:31" ht="18" hidden="1" x14ac:dyDescent="0.35">
      <c r="B28" s="32" t="e">
        <f>IF(O37=2,(Y22*W22*(($B$21/P33)^(X22*V22))+(D24*0.049)-(E24*0.049)),(Y22*W22*(($B$21/P33)^(X22*V22))-(D24*0.049)+(E24*0.049)))</f>
        <v>#VALUE!</v>
      </c>
      <c r="C28" s="33" t="e">
        <f>IF($T$22&gt;B28,"*PLT diameter is correct, je kan kleinere diameters testen.","*PLT diameter vergroten aub.")</f>
        <v>#VALUE!</v>
      </c>
      <c r="E28" s="4"/>
      <c r="F28" s="33"/>
      <c r="G28" s="68">
        <f>IF(N32=2,H20,IF(N32=1,H19,IF(N32=3,H21,IF(N32=4,H24,IF(N32=5,H25)))))</f>
        <v>1</v>
      </c>
      <c r="H28" s="1"/>
      <c r="I28" s="1">
        <f>IF(N32=2,J20,IF(N32=1,J21,IF(N32=3,J19)))</f>
        <v>1.0411999999999999</v>
      </c>
      <c r="J28" s="69">
        <f>IF(C21=H11,I11,IF(C21=H12,I12,IF(C21=H13,I13,IF(C21=H14,I14,IF(C21=H15,I15,IF(C21=H16,I16,0))))))</f>
        <v>2.533803404E-3</v>
      </c>
      <c r="K28" s="1">
        <f>IF(C21=H11,K11,IF(C21=H12,K12,IF(C21=H13,K13,IF(C21=H14,K14,IF(C21=H15,K15,IF(C21=H16,K16,0))))))</f>
        <v>2.0398046447999998</v>
      </c>
      <c r="L28" s="65">
        <f>E21+(M30*M28)+(C19*N28)</f>
        <v>99</v>
      </c>
      <c r="M28" s="1">
        <f>IF(C21=H11,L11,IF(C21=H12,L12,IF(C26=H13,L13,IF(C21=H14,L14,IF(C21=H15,L15,IF(C21=H16,L16,0))))))</f>
        <v>0</v>
      </c>
      <c r="N28" s="1">
        <f>IF(C21=H11,M11,IF(C21=H12,M12,IF(C21=H13,M13,IF(C21=H14,M14,IF(C21=H15,M15,IF(C21=H16,M16,0))))))</f>
        <v>0.4</v>
      </c>
      <c r="O28" s="70">
        <f>IF(N32=2,G20,IF(N32=1,G19,IF(N32=3,G21)))</f>
        <v>9.7690000000000001</v>
      </c>
      <c r="P28" s="1">
        <f>IF(N32=1,1.028071,IF(N32=2,1.015,IF(N32=3,1.011132)))</f>
        <v>1.028071</v>
      </c>
      <c r="Q28" s="16"/>
      <c r="R28" s="16"/>
      <c r="AA28" s="4"/>
      <c r="AB28" s="4"/>
      <c r="AC28" s="4"/>
      <c r="AD28" s="4"/>
      <c r="AE28" s="4"/>
    </row>
    <row r="29" spans="2:31" hidden="1" x14ac:dyDescent="0.3">
      <c r="C29" s="33"/>
      <c r="D29" s="33"/>
      <c r="E29" s="33"/>
      <c r="F29" s="4"/>
      <c r="G29" s="1"/>
      <c r="H29" s="1"/>
      <c r="I29" s="1"/>
      <c r="J29" s="1"/>
      <c r="K29" s="1"/>
      <c r="L29" s="1"/>
      <c r="M29" s="65" t="s">
        <v>51</v>
      </c>
      <c r="N29" s="1"/>
      <c r="O29" s="1"/>
      <c r="P29" s="16"/>
      <c r="Q29" s="16"/>
      <c r="R29" s="16"/>
      <c r="AA29" s="4"/>
      <c r="AB29" s="4"/>
      <c r="AC29" s="4"/>
      <c r="AD29" s="4"/>
      <c r="AE29" s="4"/>
    </row>
    <row r="30" spans="2:31" hidden="1" x14ac:dyDescent="0.3">
      <c r="F30" s="4"/>
      <c r="G30" s="1"/>
      <c r="H30" s="1"/>
      <c r="I30" s="1"/>
      <c r="J30" s="1"/>
      <c r="K30" s="1"/>
      <c r="L30" s="1"/>
      <c r="M30" s="1">
        <f>IF(B19=0,0,IF(B19=1,0,IF(B19=2,0,IF(B19=3,0,IF(B19=4,0,B19-4)))))</f>
        <v>0</v>
      </c>
      <c r="N30" s="1"/>
      <c r="O30" s="1"/>
      <c r="P30" s="16"/>
      <c r="Q30" s="16"/>
      <c r="R30" s="16"/>
    </row>
    <row r="31" spans="2:31" hidden="1" x14ac:dyDescent="0.3">
      <c r="B31" s="107"/>
      <c r="C31" s="107"/>
      <c r="D31" s="107"/>
      <c r="E31" s="107"/>
      <c r="F31" s="4"/>
      <c r="G31" s="1"/>
      <c r="H31" s="1"/>
      <c r="I31" s="1"/>
      <c r="J31" s="1"/>
      <c r="K31" s="1"/>
      <c r="L31" s="1"/>
      <c r="M31" s="1"/>
      <c r="N31" s="65" t="s">
        <v>52</v>
      </c>
      <c r="O31" s="1"/>
      <c r="P31" s="16"/>
      <c r="Q31" s="16"/>
      <c r="R31" s="16"/>
    </row>
    <row r="32" spans="2:31" hidden="1" x14ac:dyDescent="0.3">
      <c r="B32" s="34"/>
      <c r="C32" s="35"/>
      <c r="D32" s="35"/>
      <c r="E32" s="35"/>
      <c r="F32" s="36"/>
      <c r="G32" s="1"/>
      <c r="H32" s="1"/>
      <c r="I32" s="1"/>
      <c r="J32" s="1"/>
      <c r="K32" s="71"/>
      <c r="L32" s="1">
        <v>1</v>
      </c>
      <c r="M32" s="1"/>
      <c r="N32" s="1">
        <f>+L32</f>
        <v>1</v>
      </c>
      <c r="O32" s="1"/>
      <c r="P32" s="37" t="s">
        <v>50</v>
      </c>
      <c r="Q32" s="38"/>
      <c r="R32" s="38"/>
      <c r="S32" s="39"/>
      <c r="T32" s="40"/>
    </row>
    <row r="33" spans="1:36" hidden="1" x14ac:dyDescent="0.3">
      <c r="B33" s="41"/>
      <c r="C33" s="42"/>
      <c r="D33" s="42"/>
      <c r="E33" s="42"/>
      <c r="F33" s="4"/>
      <c r="G33" s="4"/>
      <c r="H33" s="19"/>
      <c r="I33" s="19"/>
      <c r="J33" s="19"/>
      <c r="K33" s="19"/>
      <c r="L33" s="19"/>
      <c r="M33" s="19"/>
      <c r="N33" s="19"/>
      <c r="O33" s="19"/>
      <c r="P33" s="14">
        <f>IF(O37=2,F45,IF(O37=1,D45,IF(O37=3,E45,IF(O37=4,T18,IF(O37=5,T19)))))</f>
        <v>9.7690000000000001</v>
      </c>
      <c r="Q33" s="16"/>
      <c r="R33" s="16"/>
      <c r="T33" s="43"/>
    </row>
    <row r="34" spans="1:36" ht="18" hidden="1" x14ac:dyDescent="0.35">
      <c r="B34" s="44"/>
      <c r="C34" s="45"/>
      <c r="D34" s="45"/>
      <c r="E34" s="45"/>
      <c r="F34" s="4"/>
      <c r="G34" s="7"/>
      <c r="H34" s="16"/>
      <c r="I34" s="16" t="s">
        <v>79</v>
      </c>
      <c r="J34" s="16"/>
      <c r="K34" s="1">
        <v>3</v>
      </c>
      <c r="L34" s="66">
        <v>11.63</v>
      </c>
      <c r="M34" s="16"/>
      <c r="N34" s="22" t="s">
        <v>51</v>
      </c>
      <c r="O34" s="16"/>
      <c r="P34" s="16"/>
      <c r="Q34" s="16"/>
      <c r="R34" s="16"/>
      <c r="T34" s="43"/>
    </row>
    <row r="35" spans="1:36" hidden="1" x14ac:dyDescent="0.3">
      <c r="B35" s="46"/>
      <c r="C35" s="1"/>
      <c r="D35" s="1"/>
      <c r="E35" s="1"/>
      <c r="F35" s="4"/>
      <c r="G35" s="7"/>
      <c r="H35" s="16"/>
      <c r="I35" s="16"/>
      <c r="J35" s="16"/>
      <c r="K35" s="1">
        <v>1</v>
      </c>
      <c r="L35" s="66">
        <v>9.7690000000000001</v>
      </c>
      <c r="M35" s="16"/>
      <c r="N35" s="16">
        <f>IF(B24=0,0,IF(B24=1,0,IF(B24=2,0,IF(B24=3,0,IF(B24=4,0,B24-4)))))</f>
        <v>2</v>
      </c>
      <c r="O35" s="16"/>
      <c r="P35" s="16"/>
      <c r="Q35" s="16"/>
      <c r="R35" s="16"/>
      <c r="T35" s="43"/>
    </row>
    <row r="36" spans="1:36" hidden="1" x14ac:dyDescent="0.3">
      <c r="B36" s="46"/>
      <c r="C36" s="1"/>
      <c r="D36" s="1"/>
      <c r="E36" s="1"/>
      <c r="F36" s="4"/>
      <c r="G36" s="7"/>
      <c r="H36" s="16"/>
      <c r="I36" s="16"/>
      <c r="J36" s="16"/>
      <c r="K36" s="1">
        <v>3</v>
      </c>
      <c r="L36" s="66">
        <v>25.86</v>
      </c>
      <c r="M36" s="16"/>
      <c r="N36" s="16"/>
      <c r="O36" s="22" t="s">
        <v>52</v>
      </c>
      <c r="P36" s="16"/>
      <c r="Q36" s="16"/>
      <c r="R36" s="16"/>
      <c r="T36" s="43"/>
    </row>
    <row r="37" spans="1:36" hidden="1" x14ac:dyDescent="0.3">
      <c r="B37" s="46"/>
      <c r="C37" s="1"/>
      <c r="D37" s="1"/>
      <c r="E37" s="1"/>
      <c r="F37" s="4"/>
      <c r="G37" s="7"/>
      <c r="H37" s="16"/>
      <c r="I37" s="16"/>
      <c r="J37" s="16"/>
      <c r="K37" s="16"/>
      <c r="L37" s="22"/>
      <c r="M37" s="16"/>
      <c r="N37" s="16"/>
      <c r="O37" s="14">
        <v>1</v>
      </c>
      <c r="P37" s="16"/>
      <c r="Q37" s="16"/>
      <c r="R37" s="16"/>
      <c r="T37" s="43"/>
    </row>
    <row r="38" spans="1:36" hidden="1" x14ac:dyDescent="0.3">
      <c r="B38" s="4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T38" s="43"/>
    </row>
    <row r="39" spans="1:36" hidden="1" x14ac:dyDescent="0.3">
      <c r="B39" s="4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T39" s="43"/>
    </row>
    <row r="40" spans="1:36" x14ac:dyDescent="0.3">
      <c r="B40" s="47"/>
      <c r="D40" s="48" t="s">
        <v>53</v>
      </c>
      <c r="E40" s="49" t="s">
        <v>54</v>
      </c>
      <c r="F40" s="49"/>
      <c r="G40" s="5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T40" s="43"/>
    </row>
    <row r="41" spans="1:36" ht="43.8" thickBot="1" x14ac:dyDescent="0.35">
      <c r="A41" s="97" t="s">
        <v>90</v>
      </c>
      <c r="B41" s="47"/>
      <c r="O41" s="74" t="s">
        <v>66</v>
      </c>
      <c r="P41" s="74" t="s">
        <v>67</v>
      </c>
      <c r="Q41" s="74" t="s">
        <v>68</v>
      </c>
      <c r="R41" s="74" t="s">
        <v>69</v>
      </c>
      <c r="S41" s="74" t="s">
        <v>83</v>
      </c>
      <c r="T41" s="78" t="s">
        <v>89</v>
      </c>
    </row>
    <row r="42" spans="1:36" ht="15.6" customHeight="1" x14ac:dyDescent="0.3">
      <c r="A42" s="97"/>
      <c r="C42" s="51"/>
      <c r="D42" s="108" t="s">
        <v>55</v>
      </c>
      <c r="E42" s="110" t="s">
        <v>56</v>
      </c>
      <c r="F42" s="90" t="s">
        <v>57</v>
      </c>
      <c r="G42" s="81" t="s">
        <v>58</v>
      </c>
      <c r="O42" s="79">
        <f>SUMIF($D$50:$D$88,20,$J$50:$J$88)</f>
        <v>0</v>
      </c>
      <c r="P42" s="79">
        <f>SUMIF($D$50:$D$88,25,$J$50:$J$88)</f>
        <v>0</v>
      </c>
      <c r="Q42" s="80">
        <f>SUMIF($D$50:$D$88,32,$J$50:$J$10040)</f>
        <v>0</v>
      </c>
      <c r="R42" s="79">
        <f>SUMIF($D$50:$D$88,40,$J$50:$J$88)</f>
        <v>0</v>
      </c>
      <c r="S42" s="80">
        <f>SUMIF($D$50:$D$88,50,$J$50:$J$88)</f>
        <v>0</v>
      </c>
      <c r="T42" s="80">
        <f>SUM($R$50:$R$88)</f>
        <v>0</v>
      </c>
    </row>
    <row r="43" spans="1:36" ht="15.6" x14ac:dyDescent="0.3">
      <c r="A43" s="97"/>
      <c r="B43" s="52"/>
      <c r="C43" s="51"/>
      <c r="D43" s="109"/>
      <c r="E43" s="111"/>
      <c r="F43" s="91"/>
      <c r="G43" s="112" t="s">
        <v>88</v>
      </c>
      <c r="H43" s="54"/>
      <c r="I43" s="55" t="s">
        <v>7</v>
      </c>
      <c r="J43" s="55">
        <f>$Y$50</f>
        <v>3</v>
      </c>
      <c r="K43" s="56" t="str">
        <f>IF(O37=1,"21 mbar",IF(O37=2,"37 mbar",IF(O37=3,"25 mbar",IF(O37=4,"21 mbar",IF(O37=5,"37 mbar")))))</f>
        <v>21 mbar</v>
      </c>
      <c r="S43" s="4"/>
      <c r="T43" s="53"/>
    </row>
    <row r="44" spans="1:36" ht="15" customHeight="1" x14ac:dyDescent="0.3">
      <c r="A44" s="97"/>
      <c r="B44" s="47"/>
      <c r="D44" s="94" t="s">
        <v>91</v>
      </c>
      <c r="E44" s="89" t="s">
        <v>91</v>
      </c>
      <c r="F44" s="95" t="s">
        <v>91</v>
      </c>
      <c r="G44" s="112"/>
      <c r="H44" s="54"/>
      <c r="I44" s="55" t="s">
        <v>59</v>
      </c>
      <c r="J44" s="55">
        <f>IF(J43=1,1,IF(J43=2,2,IF(J43=3,1)))</f>
        <v>1</v>
      </c>
      <c r="K44" s="56" t="str">
        <f>IF(O37=1,"1   mbar",IF(O37=2,"1   mbar",IF(O37=3,"1   mbar",IF(O37=4,"1   mbar",IF(O37=5,"2   mbar")))))</f>
        <v>1   mbar</v>
      </c>
      <c r="S44" s="4"/>
      <c r="T44" s="53"/>
    </row>
    <row r="45" spans="1:36" ht="15" thickBot="1" x14ac:dyDescent="0.35">
      <c r="A45" s="97"/>
      <c r="B45" s="47"/>
      <c r="D45" s="96">
        <v>9.7690000000000001</v>
      </c>
      <c r="E45" s="92">
        <v>11.63</v>
      </c>
      <c r="F45" s="93">
        <v>25.95</v>
      </c>
      <c r="G45" s="113"/>
      <c r="S45" s="4"/>
      <c r="T45" s="53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ht="18" x14ac:dyDescent="0.3">
      <c r="A46" s="76"/>
      <c r="B46" s="57" t="s">
        <v>60</v>
      </c>
      <c r="C46" s="57" t="s">
        <v>61</v>
      </c>
      <c r="D46" s="82" t="s">
        <v>5</v>
      </c>
      <c r="E46" s="82" t="s">
        <v>12</v>
      </c>
      <c r="F46" s="82" t="s">
        <v>3</v>
      </c>
      <c r="G46" s="58" t="s">
        <v>4</v>
      </c>
      <c r="H46" s="58" t="s">
        <v>40</v>
      </c>
      <c r="I46" s="58" t="s">
        <v>41</v>
      </c>
      <c r="J46" s="58"/>
      <c r="K46" s="58" t="s">
        <v>8</v>
      </c>
      <c r="L46" s="58" t="s">
        <v>62</v>
      </c>
      <c r="M46" s="58" t="s">
        <v>63</v>
      </c>
      <c r="N46" s="58" t="s">
        <v>64</v>
      </c>
      <c r="O46" s="58" t="s">
        <v>37</v>
      </c>
      <c r="P46" s="58" t="s">
        <v>80</v>
      </c>
      <c r="Q46" s="58" t="s">
        <v>81</v>
      </c>
      <c r="R46" s="72" t="s">
        <v>82</v>
      </c>
      <c r="S46" s="58" t="s">
        <v>50</v>
      </c>
      <c r="T46" s="58" t="s">
        <v>65</v>
      </c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x14ac:dyDescent="0.3">
      <c r="A47" s="76"/>
      <c r="B47" s="59" t="s">
        <v>70</v>
      </c>
      <c r="C47" s="57" t="s">
        <v>71</v>
      </c>
      <c r="D47" s="57" t="s">
        <v>72</v>
      </c>
      <c r="E47" s="57" t="s">
        <v>12</v>
      </c>
      <c r="F47" s="57" t="s">
        <v>73</v>
      </c>
      <c r="G47" s="57" t="s">
        <v>14</v>
      </c>
      <c r="H47" s="57" t="s">
        <v>74</v>
      </c>
      <c r="I47" s="57" t="s">
        <v>75</v>
      </c>
      <c r="J47" s="57" t="s">
        <v>76</v>
      </c>
      <c r="K47" s="57" t="s">
        <v>77</v>
      </c>
      <c r="L47" s="57"/>
      <c r="M47" s="57"/>
      <c r="N47" s="57"/>
      <c r="O47" s="57"/>
      <c r="P47" s="57"/>
      <c r="Q47" s="57"/>
      <c r="R47" s="57"/>
      <c r="S47" s="57"/>
      <c r="T47" s="57"/>
      <c r="U47" s="4" t="s">
        <v>84</v>
      </c>
      <c r="V47" s="4" t="s">
        <v>85</v>
      </c>
      <c r="W47" s="4" t="s">
        <v>86</v>
      </c>
      <c r="X47" s="4" t="s">
        <v>87</v>
      </c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x14ac:dyDescent="0.3">
      <c r="A48" s="76"/>
      <c r="B48" s="60" t="s">
        <v>78</v>
      </c>
      <c r="C48" s="61"/>
      <c r="D48" s="62"/>
      <c r="E48" s="62"/>
      <c r="F48" s="62"/>
      <c r="G48" s="62">
        <v>0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x14ac:dyDescent="0.3">
      <c r="A49" s="77"/>
      <c r="B49" s="63"/>
      <c r="C49" s="61"/>
      <c r="D49" s="64"/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83">
        <f t="shared" ref="J49" si="0">E49+H49</f>
        <v>0</v>
      </c>
      <c r="K49" s="88" t="e">
        <f t="shared" ref="K49" si="1">(O49*M49*(R49)^(N49*L49))-W49+X49</f>
        <v>#NUM!</v>
      </c>
      <c r="L49" s="84">
        <f t="shared" ref="L49" si="2">IF(Y49=1,$J$19,IF(Y49=2,$J$20,IF(Y49=3,$J$21)))</f>
        <v>1.0284599999999999</v>
      </c>
      <c r="M49" s="85" t="b">
        <f t="shared" ref="M49" si="3">IF(D49=15,$I$11,IF(D49=20,$I$12,IF(D49=25,$I$13,IF(D49=32,$I$14,IF(D49=40,$I$15,IF(D49=50,$I$16))))))</f>
        <v>0</v>
      </c>
      <c r="N49" s="85" t="b">
        <f t="shared" ref="N49" si="4">IF(D49=15,$K$11,IF(D49=20,$K$12,IF(D49=25,$K$13,IF(D49=32,$K$14,IF(D49=40,$K$15,IF(D49=50,$K$16))))))</f>
        <v>0</v>
      </c>
      <c r="O49" s="83">
        <f t="shared" ref="O49" si="5">E49+P49+G49</f>
        <v>0</v>
      </c>
      <c r="P49" s="83">
        <f t="shared" ref="P49" si="6">F49*U49</f>
        <v>0</v>
      </c>
      <c r="Q49" s="86">
        <f t="shared" ref="Q49" si="7">G49*V49</f>
        <v>0</v>
      </c>
      <c r="R49" s="87">
        <f t="shared" ref="R49" si="8">C49/S49*Z49</f>
        <v>0</v>
      </c>
      <c r="S49" s="83">
        <f t="shared" ref="S49" si="9">IF(Y49=1,9.769,IF(Y49=2,25.86,IF(Y49=3,11.63)))</f>
        <v>9.7690000000000001</v>
      </c>
      <c r="T49" s="62" t="e">
        <f t="shared" ref="T49" si="10">IF($T$22&gt;K49,"PLT OK","PLT NOK")</f>
        <v>#NUM!</v>
      </c>
      <c r="U49" s="4" t="b">
        <f t="shared" ref="U49" si="11">IF(D49=15,$L$11,IF(D49=20,$L$12,IF(D49=25,$L$13,IF(D49=32,$L$14,IF(D49=40,$L$15,IF(D49=50,$L$16))))))</f>
        <v>0</v>
      </c>
      <c r="V49" s="4" t="b">
        <f t="shared" ref="V49" si="12">IF(D49=15,$M$11,IF(D49=20,$M$12,IF(D49=25,$M$13,IF(D49=32,$M$14,IF(D49=40,$M$15,IF(D49=50,$M$16))))))</f>
        <v>0</v>
      </c>
      <c r="W49" s="4">
        <f t="shared" ref="W49" si="13">H49*0.049</f>
        <v>0</v>
      </c>
      <c r="X49" s="75">
        <f t="shared" ref="X49" si="14">I49*0.049</f>
        <v>0</v>
      </c>
      <c r="Y49" s="4">
        <v>1</v>
      </c>
      <c r="Z49" s="4">
        <f t="shared" ref="Z49" si="15">IF(Y49=1,1.028071,IF(Y49=2,1.015,IF(Y49=3,1.01132)))</f>
        <v>1.028071</v>
      </c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x14ac:dyDescent="0.3">
      <c r="A50" s="77"/>
      <c r="B50" s="63"/>
      <c r="C50" s="61"/>
      <c r="D50" s="64"/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83">
        <f>E50+H50</f>
        <v>0</v>
      </c>
      <c r="K50" s="88" t="e">
        <f>(O50*M50*(R50)^(N50*L50))-W50+X50</f>
        <v>#NUM!</v>
      </c>
      <c r="L50" s="84">
        <f>IF(Y50=1,$J$19,IF(Y50=2,$J$20,IF(Y50=3,$J$21)))</f>
        <v>1.0411999999999999</v>
      </c>
      <c r="M50" s="85" t="b">
        <f>IF(D50=15,$I$11,IF(D50=20,$I$12,IF(D50=25,$I$13,IF(D50=32,$I$14,IF(D50=40,$I$15,IF(D50=50,$I$16))))))</f>
        <v>0</v>
      </c>
      <c r="N50" s="85" t="b">
        <f>IF(D50=15,$K$11,IF(D50=20,$K$12,IF(D50=25,$K$13,IF(D50=32,$K$14,IF(D50=40,$K$15,IF(D50=50,$K$16))))))</f>
        <v>0</v>
      </c>
      <c r="O50" s="83">
        <f>E50+P50+G50</f>
        <v>0</v>
      </c>
      <c r="P50" s="83">
        <f>F50*U50</f>
        <v>0</v>
      </c>
      <c r="Q50" s="86">
        <f>G50*V50</f>
        <v>0</v>
      </c>
      <c r="R50" s="87">
        <f>C50/S50*Z50</f>
        <v>0</v>
      </c>
      <c r="S50" s="83">
        <f>IF(Y50=1,9.769,IF(Y50=2,25.86,IF(Y50=3,11.63)))</f>
        <v>11.63</v>
      </c>
      <c r="T50" s="62" t="e">
        <f>IF($T$22&gt;K50,"PLT OK","PLT NOK")</f>
        <v>#NUM!</v>
      </c>
      <c r="U50" s="4" t="b">
        <f>IF(D50=15,$L$11,IF(D50=20,$L$12,IF(D50=25,$L$13,IF(D50=32,$L$14,IF(D50=40,$L$15,IF(D50=50,$L$16))))))</f>
        <v>0</v>
      </c>
      <c r="V50" s="4" t="b">
        <f>IF(D50=15,$M$11,IF(D50=20,$M$12,IF(D50=25,$M$13,IF(D50=32,$M$14,IF(D50=40,$M$15,IF(D50=50,$M$16))))))</f>
        <v>0</v>
      </c>
      <c r="W50" s="4">
        <f t="shared" ref="W50:X50" si="16">H50*0.049</f>
        <v>0</v>
      </c>
      <c r="X50" s="75">
        <f t="shared" si="16"/>
        <v>0</v>
      </c>
      <c r="Y50" s="4">
        <v>3</v>
      </c>
      <c r="Z50" s="4">
        <f>IF(Y50=1,1.028071,IF(Y50=2,1.015,IF(Y50=3,1.01132)))</f>
        <v>1.01132</v>
      </c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x14ac:dyDescent="0.3">
      <c r="A51" s="77"/>
      <c r="B51" s="63"/>
      <c r="C51" s="61"/>
      <c r="D51" s="64"/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83">
        <f t="shared" ref="J51" si="17">E51+H51</f>
        <v>0</v>
      </c>
      <c r="K51" s="88" t="e">
        <f t="shared" ref="K51" si="18">(O51*M51*(R51)^(N51*L51))-W51+X51</f>
        <v>#NUM!</v>
      </c>
      <c r="L51" s="84">
        <f t="shared" ref="L51" si="19">IF(Y51=1,$J$19,IF(Y51=2,$J$20,IF(Y51=3,$J$21)))</f>
        <v>1.0284599999999999</v>
      </c>
      <c r="M51" s="85" t="b">
        <f t="shared" ref="M51" si="20">IF(D51=15,$I$11,IF(D51=20,$I$12,IF(D51=25,$I$13,IF(D51=32,$I$14,IF(D51=40,$I$15,IF(D51=50,$I$16))))))</f>
        <v>0</v>
      </c>
      <c r="N51" s="85" t="b">
        <f t="shared" ref="N51" si="21">IF(D51=15,$K$11,IF(D51=20,$K$12,IF(D51=25,$K$13,IF(D51=32,$K$14,IF(D51=40,$K$15,IF(D51=50,$K$16))))))</f>
        <v>0</v>
      </c>
      <c r="O51" s="83">
        <f t="shared" ref="O51" si="22">E51+P51+G51</f>
        <v>0</v>
      </c>
      <c r="P51" s="83">
        <f t="shared" ref="P51" si="23">F51*U51</f>
        <v>0</v>
      </c>
      <c r="Q51" s="86">
        <f t="shared" ref="Q51" si="24">G51*V51</f>
        <v>0</v>
      </c>
      <c r="R51" s="87">
        <f t="shared" ref="R51" si="25">C51/S51*Z51</f>
        <v>0</v>
      </c>
      <c r="S51" s="83">
        <f t="shared" ref="S51" si="26">IF(Y51=1,9.769,IF(Y51=2,25.86,IF(Y51=3,11.63)))</f>
        <v>9.7690000000000001</v>
      </c>
      <c r="T51" s="62" t="e">
        <f t="shared" ref="T51" si="27">IF($T$22&gt;K51,"PLT OK","PLT NOK")</f>
        <v>#NUM!</v>
      </c>
      <c r="U51" s="4" t="b">
        <f t="shared" ref="U51" si="28">IF(D51=15,$L$11,IF(D51=20,$L$12,IF(D51=25,$L$13,IF(D51=32,$L$14,IF(D51=40,$L$15,IF(D51=50,$L$16))))))</f>
        <v>0</v>
      </c>
      <c r="V51" s="4" t="b">
        <f t="shared" ref="V51" si="29">IF(D51=15,$M$11,IF(D51=20,$M$12,IF(D51=25,$M$13,IF(D51=32,$M$14,IF(D51=40,$M$15,IF(D51=50,$M$16))))))</f>
        <v>0</v>
      </c>
      <c r="W51" s="4">
        <f t="shared" ref="W51" si="30">H51*0.049</f>
        <v>0</v>
      </c>
      <c r="X51" s="75">
        <f t="shared" ref="X51" si="31">I51*0.049</f>
        <v>0</v>
      </c>
      <c r="Y51" s="4">
        <v>1</v>
      </c>
      <c r="Z51" s="4">
        <f t="shared" ref="Z51" si="32">IF(Y51=1,1.028071,IF(Y51=2,1.015,IF(Y51=3,1.01132)))</f>
        <v>1.028071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</row>
  </sheetData>
  <mergeCells count="12">
    <mergeCell ref="T20:AA20"/>
    <mergeCell ref="B31:E31"/>
    <mergeCell ref="D42:D43"/>
    <mergeCell ref="E42:E43"/>
    <mergeCell ref="G43:G45"/>
    <mergeCell ref="G26:N26"/>
    <mergeCell ref="C21:D21"/>
    <mergeCell ref="A41:A45"/>
    <mergeCell ref="B2:L2"/>
    <mergeCell ref="G9:M9"/>
    <mergeCell ref="E15:F16"/>
    <mergeCell ref="C20:D20"/>
  </mergeCells>
  <conditionalFormatting sqref="V18:V19">
    <cfRule type="uniqueValues" dxfId="5" priority="14"/>
  </conditionalFormatting>
  <conditionalFormatting sqref="T49:T51">
    <cfRule type="cellIs" dxfId="4" priority="12" operator="equal">
      <formula>"PLT NOK"</formula>
    </cfRule>
    <cfRule type="cellIs" dxfId="3" priority="13" operator="equal">
      <formula>"PLT OK"</formula>
    </cfRule>
  </conditionalFormatting>
  <conditionalFormatting sqref="I19:I21">
    <cfRule type="uniqueValues" dxfId="2" priority="9"/>
  </conditionalFormatting>
  <conditionalFormatting sqref="I24:I25">
    <cfRule type="uniqueValues" dxfId="1" priority="8"/>
  </conditionalFormatting>
  <conditionalFormatting sqref="K49:K51">
    <cfRule type="expression" dxfId="0" priority="7">
      <formula>K49&gt;$J$44</formula>
    </cfRule>
  </conditionalFormatting>
  <dataValidations count="1">
    <dataValidation type="list" allowBlank="1" showInputMessage="1" showErrorMessage="1" sqref="G11:G17 C21:D21 D49:D51" xr:uid="{618E239B-6DC7-43EC-9E2A-2A13115D7996}">
      <formula1>$H$11:$H$16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eçenek Düğmesi 6">
              <controlPr defaultSize="0" autoFill="0" autoLine="0" autoPict="0">
                <anchor moveWithCells="1">
                  <from>
                    <xdr:col>3</xdr:col>
                    <xdr:colOff>83820</xdr:colOff>
                    <xdr:row>40</xdr:row>
                    <xdr:rowOff>487680</xdr:rowOff>
                  </from>
                  <to>
                    <xdr:col>3</xdr:col>
                    <xdr:colOff>731520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eçenek Düğmesi 7">
              <controlPr defaultSize="0" autoFill="0" autoLine="0" autoPict="0">
                <anchor moveWithCells="1">
                  <from>
                    <xdr:col>5</xdr:col>
                    <xdr:colOff>38100</xdr:colOff>
                    <xdr:row>41</xdr:row>
                    <xdr:rowOff>38100</xdr:rowOff>
                  </from>
                  <to>
                    <xdr:col>5</xdr:col>
                    <xdr:colOff>716280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8">
              <controlPr defaultSize="0" autoFill="0" autoLine="0" autoPict="0">
                <anchor moveWithCells="1">
                  <from>
                    <xdr:col>4</xdr:col>
                    <xdr:colOff>60960</xdr:colOff>
                    <xdr:row>41</xdr:row>
                    <xdr:rowOff>144780</xdr:rowOff>
                  </from>
                  <to>
                    <xdr:col>4</xdr:col>
                    <xdr:colOff>685800</xdr:colOff>
                    <xdr:row>43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Jules De Schutter</dc:creator>
  <cp:lastModifiedBy>Tom Dam</cp:lastModifiedBy>
  <dcterms:created xsi:type="dcterms:W3CDTF">2020-03-20T10:52:17Z</dcterms:created>
  <dcterms:modified xsi:type="dcterms:W3CDTF">2021-03-16T15:51:56Z</dcterms:modified>
</cp:coreProperties>
</file>